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F 2019\New folder\"/>
    </mc:Choice>
  </mc:AlternateContent>
  <bookViews>
    <workbookView xWindow="0" yWindow="0" windowWidth="19200" windowHeight="11595"/>
  </bookViews>
  <sheets>
    <sheet name="2019" sheetId="2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3" l="1"/>
  <c r="G20" i="23"/>
  <c r="G17" i="23"/>
  <c r="G18" i="23"/>
  <c r="G16" i="23"/>
  <c r="G13" i="23"/>
  <c r="G12" i="23"/>
  <c r="G21" i="23"/>
  <c r="G29" i="23"/>
  <c r="G11" i="23"/>
  <c r="G9" i="23"/>
  <c r="G8" i="23"/>
  <c r="G7" i="23"/>
  <c r="F9" i="23" l="1"/>
  <c r="F12" i="23"/>
  <c r="F43" i="23"/>
  <c r="F18" i="23"/>
  <c r="F13" i="23"/>
  <c r="F22" i="23"/>
  <c r="F21" i="23"/>
  <c r="F20" i="23"/>
  <c r="F16" i="23"/>
  <c r="F17" i="23"/>
  <c r="F29" i="23"/>
  <c r="F11" i="23"/>
  <c r="F8" i="23"/>
  <c r="F7" i="23"/>
  <c r="E43" i="23" l="1"/>
  <c r="E18" i="23"/>
  <c r="E12" i="23"/>
  <c r="E13" i="23"/>
  <c r="E22" i="23"/>
  <c r="E21" i="23"/>
  <c r="E17" i="23"/>
  <c r="E20" i="23"/>
  <c r="E9" i="23"/>
  <c r="E16" i="23"/>
  <c r="E11" i="23"/>
  <c r="E8" i="23"/>
  <c r="E7" i="23"/>
  <c r="E29" i="23"/>
  <c r="D43" i="23" l="1"/>
  <c r="D20" i="23"/>
  <c r="D12" i="23"/>
  <c r="D16" i="23"/>
  <c r="D18" i="23"/>
  <c r="D13" i="23"/>
  <c r="D22" i="23"/>
  <c r="D21" i="23"/>
  <c r="D9" i="23"/>
  <c r="D17" i="23"/>
  <c r="D29" i="23" l="1"/>
  <c r="D11" i="23" l="1"/>
  <c r="D8" i="23"/>
  <c r="D7" i="23"/>
  <c r="C13" i="23" l="1"/>
  <c r="C16" i="23"/>
  <c r="C21" i="23"/>
  <c r="C9" i="23"/>
  <c r="C43" i="23"/>
  <c r="C12" i="23"/>
  <c r="C22" i="23"/>
  <c r="C17" i="23"/>
  <c r="C20" i="23"/>
  <c r="C18" i="23"/>
  <c r="C29" i="23"/>
  <c r="B7" i="23"/>
  <c r="B43" i="23"/>
  <c r="B12" i="23"/>
  <c r="B13" i="23"/>
  <c r="B22" i="23"/>
  <c r="B21" i="23"/>
  <c r="B20" i="23"/>
  <c r="B17" i="23"/>
  <c r="B16" i="23"/>
  <c r="B18" i="23"/>
  <c r="B29" i="23"/>
  <c r="C11" i="23"/>
  <c r="C8" i="23"/>
  <c r="N8" i="23" s="1"/>
  <c r="C7" i="23"/>
  <c r="B11" i="23"/>
  <c r="B9" i="23"/>
  <c r="M37" i="23"/>
  <c r="M38" i="23" s="1"/>
  <c r="K37" i="23"/>
  <c r="K38" i="23" s="1"/>
  <c r="J37" i="23"/>
  <c r="J38" i="23" s="1"/>
  <c r="I37" i="23"/>
  <c r="I38" i="23" s="1"/>
  <c r="H37" i="23"/>
  <c r="H38" i="23" s="1"/>
  <c r="G37" i="23"/>
  <c r="G38" i="23" s="1"/>
  <c r="F37" i="23"/>
  <c r="F38" i="23" s="1"/>
  <c r="E37" i="23"/>
  <c r="E38" i="23" s="1"/>
  <c r="D37" i="23"/>
  <c r="D38" i="23" s="1"/>
  <c r="C37" i="23"/>
  <c r="C38" i="23" s="1"/>
  <c r="B37" i="23"/>
  <c r="N36" i="23"/>
  <c r="N37" i="23" s="1"/>
  <c r="N38" i="23" s="1"/>
  <c r="K30" i="23"/>
  <c r="K31" i="23" s="1"/>
  <c r="G30" i="23"/>
  <c r="G31" i="23" s="1"/>
  <c r="M30" i="23"/>
  <c r="M31" i="23" s="1"/>
  <c r="L30" i="23"/>
  <c r="L31" i="23" s="1"/>
  <c r="J30" i="23"/>
  <c r="J31" i="23" s="1"/>
  <c r="I30" i="23"/>
  <c r="I31" i="23" s="1"/>
  <c r="H30" i="23"/>
  <c r="H31" i="23" s="1"/>
  <c r="F30" i="23"/>
  <c r="F31" i="23" s="1"/>
  <c r="E30" i="23"/>
  <c r="E31" i="23" s="1"/>
  <c r="D30" i="23"/>
  <c r="D31" i="23" s="1"/>
  <c r="N19" i="23"/>
  <c r="M23" i="23"/>
  <c r="L23" i="23"/>
  <c r="K23" i="23"/>
  <c r="J23" i="23"/>
  <c r="I23" i="23"/>
  <c r="H23" i="23"/>
  <c r="G23" i="23"/>
  <c r="F23" i="23"/>
  <c r="E23" i="23"/>
  <c r="D23" i="23"/>
  <c r="K14" i="23"/>
  <c r="G14" i="23"/>
  <c r="N11" i="23"/>
  <c r="N10" i="23"/>
  <c r="M14" i="23"/>
  <c r="M24" i="23" s="1"/>
  <c r="M39" i="23" s="1"/>
  <c r="M42" i="23" s="1"/>
  <c r="M44" i="23" s="1"/>
  <c r="L14" i="23"/>
  <c r="J14" i="23"/>
  <c r="J24" i="23" s="1"/>
  <c r="I14" i="23"/>
  <c r="H14" i="23"/>
  <c r="F14" i="23"/>
  <c r="E14" i="23"/>
  <c r="D14" i="23"/>
  <c r="E24" i="23" l="1"/>
  <c r="E39" i="23" s="1"/>
  <c r="E42" i="23" s="1"/>
  <c r="E44" i="23" s="1"/>
  <c r="N29" i="23"/>
  <c r="N30" i="23" s="1"/>
  <c r="N31" i="23" s="1"/>
  <c r="N12" i="23"/>
  <c r="L24" i="23"/>
  <c r="L39" i="23" s="1"/>
  <c r="L42" i="23" s="1"/>
  <c r="H24" i="23"/>
  <c r="H39" i="23" s="1"/>
  <c r="H42" i="23" s="1"/>
  <c r="H44" i="23" s="1"/>
  <c r="I24" i="23"/>
  <c r="I39" i="23" s="1"/>
  <c r="I42" i="23" s="1"/>
  <c r="I44" i="23" s="1"/>
  <c r="D24" i="23"/>
  <c r="D39" i="23" s="1"/>
  <c r="D42" i="23" s="1"/>
  <c r="D44" i="23" s="1"/>
  <c r="N13" i="23"/>
  <c r="N18" i="23"/>
  <c r="N20" i="23"/>
  <c r="C30" i="23"/>
  <c r="C31" i="23" s="1"/>
  <c r="N22" i="23"/>
  <c r="N21" i="23"/>
  <c r="C23" i="23"/>
  <c r="N17" i="23"/>
  <c r="B23" i="23"/>
  <c r="N9" i="23"/>
  <c r="C14" i="23"/>
  <c r="N7" i="23"/>
  <c r="F24" i="23"/>
  <c r="F39" i="23" s="1"/>
  <c r="F42" i="23" s="1"/>
  <c r="F44" i="23" s="1"/>
  <c r="G24" i="23"/>
  <c r="G39" i="23" s="1"/>
  <c r="G42" i="23" s="1"/>
  <c r="G44" i="23" s="1"/>
  <c r="K24" i="23"/>
  <c r="K39" i="23" s="1"/>
  <c r="K42" i="23" s="1"/>
  <c r="K44" i="23" s="1"/>
  <c r="J39" i="23"/>
  <c r="J42" i="23" s="1"/>
  <c r="B14" i="23"/>
  <c r="B30" i="23"/>
  <c r="B31" i="23" s="1"/>
  <c r="N16" i="23"/>
  <c r="C24" i="23" l="1"/>
  <c r="C39" i="23" s="1"/>
  <c r="C42" i="23" s="1"/>
  <c r="C44" i="23" s="1"/>
  <c r="N23" i="23"/>
  <c r="N14" i="23"/>
  <c r="B24" i="23"/>
  <c r="B39" i="23" s="1"/>
  <c r="B42" i="23" s="1"/>
  <c r="B44" i="23" s="1"/>
  <c r="N24" i="23" l="1"/>
  <c r="N39" i="23" s="1"/>
  <c r="N42" i="23" s="1"/>
  <c r="B38" i="23"/>
</calcChain>
</file>

<file path=xl/sharedStrings.xml><?xml version="1.0" encoding="utf-8"?>
<sst xmlns="http://schemas.openxmlformats.org/spreadsheetml/2006/main" count="56" uniqueCount="51">
  <si>
    <t>Cash Flows from Operating Activities</t>
  </si>
  <si>
    <t>Cash Inflows</t>
  </si>
  <si>
    <t xml:space="preserve">     Collection from taxpayers</t>
  </si>
  <si>
    <t xml:space="preserve">     Share from Internal Revenue Allotment</t>
  </si>
  <si>
    <t xml:space="preserve">     Receipts from business/service income</t>
  </si>
  <si>
    <t xml:space="preserve">     Interest Income</t>
  </si>
  <si>
    <t xml:space="preserve">     Other Receipts</t>
  </si>
  <si>
    <t xml:space="preserve">    Total Cash Inflows</t>
  </si>
  <si>
    <t>Cash Outflows</t>
  </si>
  <si>
    <t xml:space="preserve">    Payments to employees</t>
  </si>
  <si>
    <t xml:space="preserve">    Total Cash Outflows</t>
  </si>
  <si>
    <t>Net Cash Flows from Operating Activities</t>
  </si>
  <si>
    <t>Cash Flows from Investing Activities</t>
  </si>
  <si>
    <t xml:space="preserve">Cash Inflows </t>
  </si>
  <si>
    <t xml:space="preserve">     Total Cash Inflows</t>
  </si>
  <si>
    <t>Net Cash Flows from  Investing Activities</t>
  </si>
  <si>
    <t>Cash Flows from Financing Activities</t>
  </si>
  <si>
    <t>Net Cash Flows from Financing Activities</t>
  </si>
  <si>
    <t xml:space="preserve">Total Cash Provided by Operating, Investing and </t>
  </si>
  <si>
    <t xml:space="preserve">        Financing Activities</t>
  </si>
  <si>
    <t>Add: Cash at the Beginning of the year</t>
  </si>
  <si>
    <r>
      <t xml:space="preserve">    </t>
    </r>
    <r>
      <rPr>
        <sz val="11"/>
        <color theme="1"/>
        <rFont val="Arial Narrow"/>
        <family val="2"/>
      </rPr>
      <t>Payments to suppliers and creditors</t>
    </r>
  </si>
  <si>
    <r>
      <t xml:space="preserve">     </t>
    </r>
    <r>
      <rPr>
        <b/>
        <sz val="11"/>
        <color theme="1"/>
        <rFont val="Arial Narrow"/>
        <family val="2"/>
      </rPr>
      <t>Total Cash Inflows</t>
    </r>
  </si>
  <si>
    <r>
      <t xml:space="preserve">    </t>
    </r>
    <r>
      <rPr>
        <sz val="11"/>
        <color theme="1"/>
        <rFont val="Arial Narrow"/>
        <family val="2"/>
      </rPr>
      <t>Payment of loan amortization</t>
    </r>
  </si>
  <si>
    <t>City Government of San Pablo</t>
  </si>
  <si>
    <t>Certified Correct:</t>
  </si>
  <si>
    <t>LOLITA G. CORNISTA</t>
  </si>
  <si>
    <t xml:space="preserve">   City Accountant</t>
  </si>
  <si>
    <t xml:space="preserve"> Statement of  Cash Flows - General Fund</t>
  </si>
  <si>
    <t xml:space="preserve">   Payment of Expenses</t>
  </si>
  <si>
    <t xml:space="preserve">    Other Income</t>
  </si>
  <si>
    <t xml:space="preserve">     Payment and Liquidation of Cash Advances</t>
  </si>
  <si>
    <r>
      <t xml:space="preserve">    </t>
    </r>
    <r>
      <rPr>
        <sz val="11"/>
        <color theme="1"/>
        <rFont val="Arial Narrow"/>
        <family val="2"/>
      </rPr>
      <t>Purchase/Construction of Property, Plant and  Equipt.</t>
    </r>
  </si>
  <si>
    <t>Cash Balance per Statement of Financial Position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</si>
  <si>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</si>
  <si>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</si>
  <si>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</si>
  <si>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</si>
  <si>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</si>
  <si>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</si>
  <si>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</si>
  <si>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</si>
  <si>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</si>
  <si>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</si>
  <si>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</si>
  <si>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 xml:space="preserve">    Other Payments</t>
  </si>
  <si>
    <t xml:space="preserve">     Interest Expense</t>
  </si>
  <si>
    <t xml:space="preserve">     Receipts and Payment of all Remittances</t>
  </si>
  <si>
    <t xml:space="preserve">     Receipts and Payment of Due From and Due To officers</t>
  </si>
  <si>
    <t xml:space="preserve"> </t>
  </si>
  <si>
    <t>For the Month Ended  June 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</si>
</sst>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43" fontId="2" fillId="0" borderId="0" xfId="1" applyFont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0" xfId="1" applyFont="1"/>
    <xf numFmtId="43" fontId="2" fillId="0" borderId="0" xfId="0" applyNumberFormat="1" applyFont="1"/>
    <xf numFmtId="43" fontId="0" fillId="0" borderId="0" xfId="1" applyFont="1"/>
    <xf numFmtId="43" fontId="0" fillId="0" borderId="0" xfId="0" applyNumberFormat="1"/>
    <xf numFmtId="43" fontId="2" fillId="0" borderId="0" xfId="1" applyFont="1" applyBorder="1" applyAlignment="1">
      <alignment horizontal="center" vertical="center" wrapText="1"/>
    </xf>
    <xf numFmtId="43" fontId="1" fillId="0" borderId="1" xfId="1" applyFont="1" applyBorder="1"/>
    <xf numFmtId="43" fontId="2" fillId="0" borderId="1" xfId="1" applyFont="1" applyBorder="1"/>
    <xf numFmtId="43" fontId="2" fillId="0" borderId="0" xfId="1" applyFont="1" applyBorder="1"/>
    <xf numFmtId="43" fontId="0" fillId="0" borderId="0" xfId="0" applyNumberFormat="1" applyBorder="1"/>
    <xf numFmtId="0" fontId="0" fillId="0" borderId="0" xfId="0" applyBorder="1"/>
    <xf numFmtId="0" fontId="2" fillId="0" borderId="0" xfId="0" applyFont="1" applyAlignment="1">
      <alignment horizontal="center"/>
    </xf>
    <xf numFmtId="9" fontId="2" fillId="0" borderId="0" xfId="2" applyFont="1" applyAlignment="1">
      <alignment vertical="center"/>
    </xf>
    <xf numFmtId="9" fontId="4" fillId="0" borderId="0" xfId="2" applyFont="1" applyAlignment="1">
      <alignment horizontal="justify" vertical="center" wrapText="1"/>
    </xf>
    <xf numFmtId="9" fontId="5" fillId="0" borderId="0" xfId="2" applyFont="1" applyAlignment="1">
      <alignment horizontal="justify" vertical="center" wrapText="1"/>
    </xf>
    <xf numFmtId="9" fontId="2" fillId="0" borderId="0" xfId="2" applyFont="1" applyAlignment="1">
      <alignment horizontal="justify" vertical="center" wrapText="1"/>
    </xf>
    <xf numFmtId="9" fontId="3" fillId="0" borderId="0" xfId="2" applyFont="1" applyAlignment="1">
      <alignment horizontal="justify" vertical="center" wrapText="1"/>
    </xf>
    <xf numFmtId="9" fontId="4" fillId="0" borderId="0" xfId="2" applyFont="1" applyAlignment="1">
      <alignment horizontal="left" vertical="center" wrapText="1"/>
    </xf>
    <xf numFmtId="9" fontId="2" fillId="0" borderId="0" xfId="2" applyFont="1" applyAlignment="1">
      <alignment horizontal="center" vertical="center"/>
    </xf>
    <xf numFmtId="9" fontId="2" fillId="0" borderId="0" xfId="2" applyFont="1"/>
    <xf numFmtId="9" fontId="0" fillId="0" borderId="0" xfId="2" applyFont="1"/>
    <xf numFmtId="43" fontId="2" fillId="0" borderId="3" xfId="1" applyFont="1" applyBorder="1" applyAlignment="1">
      <alignment horizontal="center" vertical="center" wrapText="1"/>
    </xf>
    <xf numFmtId="43" fontId="2" fillId="0" borderId="3" xfId="1" applyFont="1" applyBorder="1"/>
    <xf numFmtId="0" fontId="4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topLeftCell="A35" workbookViewId="0">
      <selection sqref="A1:N47"/>
    </sheetView>
  </sheetViews>
  <sheetFormatPr defaultRowHeight="15" x14ac:dyDescent="0.25"/>
  <cols>
    <col min="1" max="1" width="50.7109375" style="24" customWidth="1"/>
    <col min="2" max="2" width="20.140625" hidden="1" customWidth="1"/>
    <col min="3" max="3" width="17" hidden="1" customWidth="1"/>
    <col min="4" max="4" width="15.85546875" hidden="1" customWidth="1"/>
    <col min="5" max="12" width="16" hidden="1" customWidth="1"/>
    <col min="13" max="13" width="0.140625" customWidth="1"/>
    <col min="14" max="14" width="18.42578125" customWidth="1"/>
    <col min="15" max="15" width="18" customWidth="1"/>
    <col min="16" max="16" width="12.28515625" bestFit="1" customWidth="1"/>
  </cols>
  <sheetData>
    <row r="1" spans="1:17" ht="15.75" customHeight="1" x14ac:dyDescent="0.2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7" ht="15.75" customHeight="1" x14ac:dyDescent="0.25">
      <c r="A2" s="27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7" ht="15.75" customHeight="1" x14ac:dyDescent="0.25">
      <c r="A3" s="27" t="s">
        <v>50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7" ht="15.75" customHeight="1" x14ac:dyDescent="0.3">
      <c r="A4" s="16"/>
      <c r="B4" s="1"/>
    </row>
    <row r="5" spans="1:17" ht="15.75" customHeight="1" x14ac:dyDescent="0.3">
      <c r="A5" s="17" t="s">
        <v>0</v>
      </c>
      <c r="B5" s="9" t="s">
        <v>34</v>
      </c>
      <c r="C5" s="15" t="s">
        <v>35</v>
      </c>
      <c r="D5" s="15" t="s">
        <v>36</v>
      </c>
      <c r="E5" s="15" t="s">
        <v>37</v>
      </c>
      <c r="F5" s="15" t="s">
        <v>38</v>
      </c>
      <c r="G5" s="15" t="s">
        <v>39</v>
      </c>
      <c r="H5" s="15" t="s">
        <v>40</v>
      </c>
      <c r="I5" s="15" t="s">
        <v>41</v>
      </c>
      <c r="J5" s="15" t="s">
        <v>42</v>
      </c>
      <c r="K5" s="15" t="s">
        <v>43</v>
      </c>
      <c r="L5" s="15" t="s">
        <v>44</v>
      </c>
      <c r="M5" s="15"/>
      <c r="N5" s="1"/>
    </row>
    <row r="6" spans="1:17" ht="15.75" customHeight="1" x14ac:dyDescent="0.3">
      <c r="A6" s="18" t="s">
        <v>1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7" ht="15.75" customHeight="1" x14ac:dyDescent="0.3">
      <c r="A7" s="19" t="s">
        <v>2</v>
      </c>
      <c r="B7" s="2">
        <f>1090149.3+3289495.87+9058761.38-1238596.45+8195736.02+699528.39+93923292.9+741100+766094.62+104362.5+99048.38+222312+671923.74-6665626.34</f>
        <v>110957582.31</v>
      </c>
      <c r="C7" s="5">
        <f>63250+729998.38+6919707.36-946705.96+900926.33+1265272.18+3478978.95+129000+637357.98+135520+4833.75+270214+428635.68</f>
        <v>14016988.650000002</v>
      </c>
      <c r="D7" s="5">
        <f>33900+386315.47+18153503.54-2474369.9+1836522.78+1140211.91+2868977.49+110500+392185.64+133980+266234+886033.59</f>
        <v>23733994.52</v>
      </c>
      <c r="E7" s="5">
        <f>20150+188051.56+845776.77-83466.93+404560.7+1721700.4+14134325.8+43300+434016.18+102630+1000+304605+246382.56</f>
        <v>18363032.039999999</v>
      </c>
      <c r="F7" s="5">
        <f>28700+284061.5+647769.63-66792.32+605894.75+732584.12+1084669.89+55000+778946.16+415305+9000+309639+357665.61</f>
        <v>5242443.3400000008</v>
      </c>
      <c r="G7" s="5">
        <f>16332.5+261751.27+975621.74-111686.91+538553.33+488981.86+4602053.35+58000+641804.02+121770+327285+312842.38</f>
        <v>8233308.54</v>
      </c>
      <c r="H7" s="5"/>
      <c r="I7" s="5"/>
      <c r="J7" s="5"/>
      <c r="K7" s="5"/>
      <c r="L7" s="5"/>
      <c r="M7" s="5"/>
      <c r="N7" s="5">
        <f>+B7+C7+D7+E7+F7+G7+H7+I7+J7+K7+L7+M7</f>
        <v>180547349.40000001</v>
      </c>
    </row>
    <row r="8" spans="1:17" ht="15.75" customHeight="1" x14ac:dyDescent="0.3">
      <c r="A8" s="19" t="s">
        <v>3</v>
      </c>
      <c r="B8" s="2"/>
      <c r="C8" s="5">
        <f>110077528+27519382</f>
        <v>137596910</v>
      </c>
      <c r="D8" s="5">
        <f>55038764+13759691</f>
        <v>68798455</v>
      </c>
      <c r="E8" s="5">
        <f>55038764+13759691</f>
        <v>68798455</v>
      </c>
      <c r="F8" s="5">
        <f>55038764+13759691</f>
        <v>68798455</v>
      </c>
      <c r="G8" s="5">
        <f>55038764+13759691</f>
        <v>68798455</v>
      </c>
      <c r="H8" s="5"/>
      <c r="I8" s="5"/>
      <c r="J8" s="5"/>
      <c r="K8" s="5"/>
      <c r="L8" s="5"/>
      <c r="M8" s="5"/>
      <c r="N8" s="5">
        <f t="shared" ref="N8:N13" si="0">+B8+C8+D8+E8+F8+G8+H8+I8+J8+K8+L8+M8</f>
        <v>412790730</v>
      </c>
    </row>
    <row r="9" spans="1:17" ht="15.75" customHeight="1" x14ac:dyDescent="0.3">
      <c r="A9" s="19" t="s">
        <v>4</v>
      </c>
      <c r="B9" s="2">
        <f>8861453.93+341810+1910840+178641+177300+1360771.2+506910+2370557.6+1459756.28+121213+170648.82+17650+4288349.82+2247467.21</f>
        <v>24013368.859999999</v>
      </c>
      <c r="C9" s="5">
        <f>1207942.21+375108+458430.2+461860+43750+1788525.1+459392.29+1217401.6+744511.5+101460+132260.79+23300+367151.1+1201723.49-418260</f>
        <v>8164556.2799999993</v>
      </c>
      <c r="D9" s="5">
        <f>1480755.16+498541.4+538366.4+199530+84525+1398846.3+758479.31+1213138.4+1452443.98+158240+126467.5+17850+474447.57+1915223.06-418260</f>
        <v>9898594.0800000019</v>
      </c>
      <c r="E9" s="5">
        <f>689885.08+263735+248246.1+35300+13290+1248319.57+477920+1181799.2+1332372.76+106390+136629.07+23350+114761.79+943735.81+12350</f>
        <v>6828084.3800000008</v>
      </c>
      <c r="F9" s="5">
        <f>1446588.88+389926+466726.1+360540+24905+1267965.5+536350+1166870.8+1420449.33+124030+157999.26+30800+150634.5+704456.26+13550</f>
        <v>8261791.6299999999</v>
      </c>
      <c r="G9" s="5">
        <f>735881.16+354776+362257.7+1235340+269775+1271911.1+520760+1140489.6+1393768.57+110260+168129.02+31800+86236+892935.93</f>
        <v>8574320.0800000001</v>
      </c>
      <c r="H9" s="5"/>
      <c r="I9" s="5"/>
      <c r="J9" s="5"/>
      <c r="K9" s="5"/>
      <c r="L9" s="5"/>
      <c r="M9" s="5"/>
      <c r="N9" s="5">
        <f t="shared" si="0"/>
        <v>65740715.310000002</v>
      </c>
    </row>
    <row r="10" spans="1:17" ht="15.75" customHeight="1" x14ac:dyDescent="0.3">
      <c r="A10" s="19" t="s">
        <v>5</v>
      </c>
      <c r="B10" s="2">
        <v>1333.33</v>
      </c>
      <c r="C10" s="5">
        <v>1377.78</v>
      </c>
      <c r="D10" s="5">
        <v>1333.33</v>
      </c>
      <c r="E10" s="5">
        <v>1333.34</v>
      </c>
      <c r="F10" s="5">
        <v>1377.78</v>
      </c>
      <c r="G10" s="5">
        <v>1333.34</v>
      </c>
      <c r="H10" s="5"/>
      <c r="I10" s="5"/>
      <c r="J10" s="5"/>
      <c r="K10" s="5"/>
      <c r="L10" s="5"/>
      <c r="M10" s="5"/>
      <c r="N10" s="5">
        <f t="shared" si="0"/>
        <v>8088.9</v>
      </c>
      <c r="O10" s="8"/>
    </row>
    <row r="11" spans="1:17" ht="15.75" customHeight="1" x14ac:dyDescent="0.3">
      <c r="A11" s="19" t="s">
        <v>30</v>
      </c>
      <c r="B11" s="2">
        <f>24890.89+4546.86</f>
        <v>29437.75</v>
      </c>
      <c r="C11" s="5">
        <f>4020.75-1033.3</f>
        <v>2987.45</v>
      </c>
      <c r="D11" s="5">
        <f>2120+30535.52</f>
        <v>32655.52</v>
      </c>
      <c r="E11" s="5">
        <f>50737.79+325.98</f>
        <v>51063.770000000004</v>
      </c>
      <c r="F11" s="5">
        <f>7967.94+14043.59</f>
        <v>22011.53</v>
      </c>
      <c r="G11" s="5">
        <f>22961.56+619.62</f>
        <v>23581.18</v>
      </c>
      <c r="H11" s="5"/>
      <c r="I11" s="5"/>
      <c r="J11" s="5"/>
      <c r="K11" s="5"/>
      <c r="L11" s="5"/>
      <c r="M11" s="5"/>
      <c r="N11" s="5">
        <f t="shared" si="0"/>
        <v>161737.20000000001</v>
      </c>
    </row>
    <row r="12" spans="1:17" ht="15.75" customHeight="1" x14ac:dyDescent="0.3">
      <c r="A12" s="19" t="s">
        <v>6</v>
      </c>
      <c r="B12" s="9">
        <f>21675+58140.18+147715.29+4929791.45+443145.87+30387.5+1073300.45+17000+2231312.59+37468.49+10000</f>
        <v>8999936.8200000003</v>
      </c>
      <c r="C12" s="12">
        <f>630.01+32773.82+18037.54+31724.13+3433610.2+54112.61+44220+787129.74+73340+15997400+9667.55</f>
        <v>20482645.600000001</v>
      </c>
      <c r="D12" s="12">
        <f>38739.22+1196+5495.69+722.88+37060.04+39010.02+8000488.49+117030.07+44027.5+760736+2605230+14962326+25930</f>
        <v>26637991.91</v>
      </c>
      <c r="E12" s="12">
        <f>30744.87+13262.07+663194.88+39786.2+29865+737044.69+703300+3260.12+3614625.76</f>
        <v>5835083.5899999999</v>
      </c>
      <c r="F12" s="12">
        <f>79945.49+8253.87+738083.88+24761.6+105902.5+757554.07+368710+6000+3236.42+6860+289141.23</f>
        <v>2388449.06</v>
      </c>
      <c r="G12" s="12">
        <f>3022.69+52453.23+8857.01+818215.87+26571.03+41910+744605.17+395570+64608.85+1504588.4+6184.4+0.3</f>
        <v>3666586.9499999997</v>
      </c>
      <c r="H12" s="12"/>
      <c r="I12" s="12"/>
      <c r="J12" s="12"/>
      <c r="K12" s="12"/>
      <c r="L12" s="12"/>
      <c r="M12" s="12"/>
      <c r="N12" s="5">
        <f t="shared" si="0"/>
        <v>68010693.930000007</v>
      </c>
      <c r="O12" s="13"/>
      <c r="P12" s="13"/>
      <c r="Q12" s="14"/>
    </row>
    <row r="13" spans="1:17" ht="15.75" customHeight="1" x14ac:dyDescent="0.3">
      <c r="A13" s="19" t="s">
        <v>47</v>
      </c>
      <c r="B13" s="25">
        <f>-4209815.12-16253455.41-1343337.99-555814.93-5533024.24+2972848.2+2523596.7+471378.54+193663.33+270645.71+1205463.37-358263.19-17071.85+1051963.43+5950587.66+948478.96+381672.34+393105.1+2770986.36+174916.39+8500</f>
        <v>-8952976.6400000025</v>
      </c>
      <c r="C13" s="26">
        <f>-4024722.43-22679.15-1421415-576927.7-592253.31-4077627.65+2159637.27+2689016.87+501490.66+207681.53+202288.95+976438.7+1573692.38+6536195.34+1054826.78+409459.73+379417.91+2229456.23-4483.82-7700+1000+16060.11-3292.37</f>
        <v>8205561.0300000012</v>
      </c>
      <c r="D13" s="26">
        <f>2829884.27+2636304.84+472319.87+202502.42+200292.57+944771-3730907.85-8495953.2-1560740.6-598795.82-1155567.07-3287968.87+1508436.2+6322069.58+1013515.69+398887.01+371579.97+2273562.75-6746.88+9633+12740+14980.25</f>
        <v>374799.12999999814</v>
      </c>
      <c r="E13" s="26">
        <f>1056965.68+2673163.88+483362.39+210688.96+192254.71+936102.5-4341612.84-8440597.22-1478521.83-607973.45-74477.53-3199644.22+1621830.9+6422098.46+1021910.02+405806.95+379852.59+2152113.31-3822-4400+9633+795.24+10069.25</f>
        <v>-574401.25000000023</v>
      </c>
      <c r="F13" s="26">
        <f>4137696.51+2696496.3+496628.18+208811.46+177833.23+2038460.46-2708126.77-10315758.88-1476429.91-607055.87-581740.3-3098036.5+1599516.95+6425083.97+1016462.74+403486.17+376498.53+4535335.76-1500-5115.34+1722.85+5979+12280</f>
        <v>5338528.5399999991</v>
      </c>
      <c r="G13" s="26">
        <f>5884048.67+8480424.92+1433025.83+576451.73+519958.16+2888384.87-5705393.37-9140054.25-1483032.63-606379.61-1090589.4-6515424.99+229479.01+505320.25+62836.64+21628.69+8000+43399.96-6588.84-1500-8559.88+3654+7369</f>
        <v>-3893541.2400000012</v>
      </c>
      <c r="H13" s="26"/>
      <c r="I13" s="26"/>
      <c r="J13" s="26"/>
      <c r="K13" s="26"/>
      <c r="L13" s="26"/>
      <c r="M13" s="26"/>
      <c r="N13" s="26">
        <f t="shared" si="0"/>
        <v>497969.56999999471</v>
      </c>
      <c r="O13" s="13"/>
      <c r="P13" s="13"/>
      <c r="Q13" s="14"/>
    </row>
    <row r="14" spans="1:17" ht="15.75" customHeight="1" thickBot="1" x14ac:dyDescent="0.3">
      <c r="A14" s="17" t="s">
        <v>7</v>
      </c>
      <c r="B14" s="3">
        <f>SUM(B7:B13)</f>
        <v>135048682.43000001</v>
      </c>
      <c r="C14" s="3">
        <f>SUM(C7:C13)</f>
        <v>188471026.78999999</v>
      </c>
      <c r="D14" s="3">
        <f>SUM(D7:D13)</f>
        <v>129477823.48999998</v>
      </c>
      <c r="E14" s="3">
        <f t="shared" ref="E14:N14" si="1">SUM(E7:E13)</f>
        <v>99302650.86999999</v>
      </c>
      <c r="F14" s="3">
        <f t="shared" si="1"/>
        <v>90053056.879999995</v>
      </c>
      <c r="G14" s="3">
        <f t="shared" si="1"/>
        <v>85404043.850000024</v>
      </c>
      <c r="H14" s="3">
        <f t="shared" si="1"/>
        <v>0</v>
      </c>
      <c r="I14" s="3">
        <f t="shared" si="1"/>
        <v>0</v>
      </c>
      <c r="J14" s="3">
        <f t="shared" si="1"/>
        <v>0</v>
      </c>
      <c r="K14" s="3">
        <f t="shared" si="1"/>
        <v>0</v>
      </c>
      <c r="L14" s="3">
        <f t="shared" si="1"/>
        <v>0</v>
      </c>
      <c r="M14" s="3">
        <f t="shared" si="1"/>
        <v>0</v>
      </c>
      <c r="N14" s="3">
        <f t="shared" si="1"/>
        <v>727757284.31000006</v>
      </c>
      <c r="O14" s="8"/>
    </row>
    <row r="15" spans="1:17" ht="15.75" customHeight="1" x14ac:dyDescent="0.3">
      <c r="A15" s="18" t="s">
        <v>8</v>
      </c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7" ht="15.75" customHeight="1" x14ac:dyDescent="0.3">
      <c r="A16" s="20" t="s">
        <v>29</v>
      </c>
      <c r="B16" s="2">
        <f>13047349.5+4885244.02</f>
        <v>17932593.52</v>
      </c>
      <c r="C16" s="5">
        <f>16289553.25+4151854.23+472200+2250000-7550</f>
        <v>23156057.48</v>
      </c>
      <c r="D16" s="5">
        <f>33153467.07+5616647.25+1200-15000+3-0.6-500</f>
        <v>38755816.719999999</v>
      </c>
      <c r="E16" s="5">
        <f>10954198.57+5805796.64+12000</f>
        <v>16771995.210000001</v>
      </c>
      <c r="F16" s="5">
        <f>19077131.17+6971931.74+2250000</f>
        <v>28299062.910000004</v>
      </c>
      <c r="G16" s="5">
        <f>17764065.74+8423287.96+1800</f>
        <v>26189153.699999999</v>
      </c>
      <c r="H16" s="5"/>
      <c r="I16" s="5"/>
      <c r="J16" s="5"/>
      <c r="K16" s="5"/>
      <c r="L16" s="5"/>
      <c r="M16" s="5"/>
      <c r="N16" s="5">
        <f t="shared" ref="N16:N22" si="2">+B16+C16+D16+E16+F16+G16+H16+I16+J16+K16+L16+M16</f>
        <v>151104679.53999999</v>
      </c>
    </row>
    <row r="17" spans="1:16" ht="15.75" customHeight="1" x14ac:dyDescent="0.3">
      <c r="A17" s="17" t="s">
        <v>21</v>
      </c>
      <c r="B17" s="2">
        <f>255924.84+5685388.9+2926500+58050+38691.25+100000-2450741.72+11308657.39+3248-1661293.81+273374.37-15000+549338.55</f>
        <v>17072137.77</v>
      </c>
      <c r="C17" s="5">
        <f>1196+199500+3999975+152530+44800+28245+314741.42-1179121.49+5668136.74+3198764.4-219953.87+59162.52+327240-52678.77</f>
        <v>12542536.950000001</v>
      </c>
      <c r="D17" s="5">
        <f>369790+8191.47+318200+10825+198000+268500+809580+20925199.49+444892.75+486863.72-10168.69+219619.32-447011.3+64294-7360-3000</f>
        <v>23656415.759999994</v>
      </c>
      <c r="E17" s="5">
        <f>11250+1014851.25+300000+33200+35658.63+18649.24+283800.9-100000-14356.4-8191.47</f>
        <v>1574862.1500000001</v>
      </c>
      <c r="F17" s="5">
        <f>369952.85+4436608.09+5640048.33+47080+16773408.83-2742081.93+260277.06+314562+447440.21-1924358.01-12000</f>
        <v>23610937.43</v>
      </c>
      <c r="G17" s="5">
        <f>498750+10000+64850+49455+141360+75619+170000+3254190-4144854.44+78882.94+110810-3004677.55+60840-5100</f>
        <v>-2639875.0499999998</v>
      </c>
      <c r="H17" s="5"/>
      <c r="I17" s="5"/>
      <c r="J17" s="5"/>
      <c r="K17" s="5"/>
      <c r="L17" s="5"/>
      <c r="M17" s="5"/>
      <c r="N17" s="5">
        <f t="shared" si="2"/>
        <v>75817015.00999999</v>
      </c>
    </row>
    <row r="18" spans="1:16" ht="15.75" customHeight="1" x14ac:dyDescent="0.3">
      <c r="A18" s="19" t="s">
        <v>9</v>
      </c>
      <c r="B18" s="2">
        <f>11047056.84+25913496.45</f>
        <v>36960553.289999999</v>
      </c>
      <c r="C18" s="5">
        <f>11104972.06+27699949.93</f>
        <v>38804921.990000002</v>
      </c>
      <c r="D18" s="5">
        <f>11987819.62+25012548.18-3930.73</f>
        <v>36996437.07</v>
      </c>
      <c r="E18" s="5">
        <f>11053063.19+26183184.41-9045.6</f>
        <v>37227202</v>
      </c>
      <c r="F18" s="5">
        <f>18418179.6+42678879.35-4058.37</f>
        <v>61093000.580000006</v>
      </c>
      <c r="G18" s="5">
        <f>32473432.15+3749764.16-7317</f>
        <v>36215879.310000002</v>
      </c>
      <c r="H18" s="5"/>
      <c r="I18" s="5"/>
      <c r="J18" s="5"/>
      <c r="K18" s="5"/>
      <c r="L18" s="5"/>
      <c r="M18" s="5"/>
      <c r="N18" s="5">
        <f t="shared" si="2"/>
        <v>247297994.24000001</v>
      </c>
      <c r="O18" s="7"/>
      <c r="P18" s="8"/>
    </row>
    <row r="19" spans="1:16" ht="15.75" customHeight="1" x14ac:dyDescent="0.3">
      <c r="A19" s="19" t="s">
        <v>46</v>
      </c>
      <c r="B19" s="2">
        <v>233052.71</v>
      </c>
      <c r="C19" s="5"/>
      <c r="D19" s="5"/>
      <c r="E19" s="5">
        <v>795747.5</v>
      </c>
      <c r="F19" s="5"/>
      <c r="G19" s="5"/>
      <c r="H19" s="5"/>
      <c r="I19" s="5"/>
      <c r="J19" s="5"/>
      <c r="K19" s="5"/>
      <c r="L19" s="5"/>
      <c r="M19" s="5"/>
      <c r="N19" s="5">
        <f t="shared" si="2"/>
        <v>1028800.21</v>
      </c>
    </row>
    <row r="20" spans="1:16" ht="15.75" customHeight="1" x14ac:dyDescent="0.3">
      <c r="A20" s="19" t="s">
        <v>45</v>
      </c>
      <c r="B20" s="9">
        <f>17480.51+11096038.73+42420+5178000+852535.98</f>
        <v>17186475.219999999</v>
      </c>
      <c r="C20" s="5">
        <f>147715.29+1546833.82+60680+7500+4929791.45</f>
        <v>6692520.5600000005</v>
      </c>
      <c r="D20" s="5">
        <f>885462.35+113235+18037.54+918250+3465334.33</f>
        <v>5400319.2200000007</v>
      </c>
      <c r="E20" s="5">
        <f>15001336.02+4535936.77+72915+7997345.62</f>
        <v>27607533.41</v>
      </c>
      <c r="F20" s="5">
        <f>4588.4+13262.07+2386860.9+1135058.89+46600+4029000+650018.21</f>
        <v>8265388.4699999997</v>
      </c>
      <c r="G20" s="5">
        <f>1500000+8253.87+6888218.17+85130+547760+710681.53-6000000</f>
        <v>3740043.5699999984</v>
      </c>
      <c r="H20" s="5"/>
      <c r="I20" s="5"/>
      <c r="J20" s="5"/>
      <c r="K20" s="5"/>
      <c r="L20" s="5"/>
      <c r="M20" s="5"/>
      <c r="N20" s="5">
        <f t="shared" si="2"/>
        <v>68892280.449999988</v>
      </c>
    </row>
    <row r="21" spans="1:16" ht="15.75" customHeight="1" x14ac:dyDescent="0.3">
      <c r="A21" s="19" t="s">
        <v>31</v>
      </c>
      <c r="B21" s="2">
        <f>508735+19139350.04+10815930+115739.2-405648.73-18713385.23-8186732.81-5872+789.24-287.81-151277.25-7757.03-13</f>
        <v>3109569.6199999982</v>
      </c>
      <c r="C21" s="5">
        <f>463680+19820875.58+220000+449268-366006.39-19055149.5-504517.27-74774.2-210.76-5643.06-117770.56-131.24-2250000+7550</f>
        <v>-1412829.4000000025</v>
      </c>
      <c r="D21" s="5">
        <f>469685+16718920.39+2614650+349226.89-410541.35-16669178.21-2455055.49-161700.92-578.5-11163.52-239620.12-2930.57-1256</f>
        <v>200457.59999999852</v>
      </c>
      <c r="E21" s="5">
        <f>582000+18395350.35+5059000+79596-453665.82-19049867.4-211746.37-249358.97-14546.12-28499.12-472.59-19715</f>
        <v>4088074.9600000023</v>
      </c>
      <c r="F21" s="5">
        <f>471130+34570622.9+3109432.02+58964.58-513456.49-34053250.93-4667974.22-210617.91-2250000-22835.71-94048.56-330.01-16234.09</f>
        <v>-3618598.4200000013</v>
      </c>
      <c r="G21" s="5">
        <f>432550+9303152.78+2306942.24+35238.56-469444.2-8937593.12-2614795.33-61743.58-18315.8-17099.87-78538.93+1.26</f>
        <v>-119645.98999999843</v>
      </c>
      <c r="H21" s="5"/>
      <c r="I21" s="5"/>
      <c r="J21" s="5"/>
      <c r="K21" s="5"/>
      <c r="L21" s="5"/>
      <c r="M21" s="5"/>
      <c r="N21" s="5">
        <f t="shared" si="2"/>
        <v>2247028.3699999969</v>
      </c>
      <c r="O21" s="7"/>
    </row>
    <row r="22" spans="1:16" ht="15.75" customHeight="1" x14ac:dyDescent="0.3">
      <c r="A22" s="19" t="s">
        <v>48</v>
      </c>
      <c r="B22" s="25">
        <f>665.7-11815.14+877693.85-10000+2252423.13-54440.39-789.24+191043.45-167896.21</f>
        <v>3076885.15</v>
      </c>
      <c r="C22" s="26">
        <f>93.42-11815.14+6000-48471.77+117.75-15350+5772-42177.26</f>
        <v>-105831</v>
      </c>
      <c r="D22" s="26">
        <f>202.69-11815.14+34611.89-30000-26599.14+578.5+3172.29-19170.72</f>
        <v>-49019.63</v>
      </c>
      <c r="E22" s="26">
        <f>200.97-11815.14+5894.5-41209.85-10563.91+7325-6201.78</f>
        <v>-56370.209999999992</v>
      </c>
      <c r="F22" s="26">
        <f>194.82-21815.8+33159.85-41148.91-6356.4-14378.36+5076.25-5484.82</f>
        <v>-50753.37</v>
      </c>
      <c r="G22" s="26">
        <f>137.74+36748.91-52444.45+18321.94-1800+701.56-8524.75</f>
        <v>-6859.0499999999975</v>
      </c>
      <c r="H22" s="26"/>
      <c r="I22" s="26"/>
      <c r="J22" s="26"/>
      <c r="K22" s="26"/>
      <c r="L22" s="26"/>
      <c r="M22" s="26"/>
      <c r="N22" s="26">
        <f t="shared" si="2"/>
        <v>2808051.89</v>
      </c>
      <c r="O22" s="8"/>
    </row>
    <row r="23" spans="1:16" ht="15.75" customHeight="1" thickBot="1" x14ac:dyDescent="0.3">
      <c r="A23" s="17" t="s">
        <v>10</v>
      </c>
      <c r="B23" s="3">
        <f t="shared" ref="B23:N23" si="3">SUM(B16:B22)</f>
        <v>95571267.280000001</v>
      </c>
      <c r="C23" s="3">
        <f t="shared" si="3"/>
        <v>79677376.579999998</v>
      </c>
      <c r="D23" s="3">
        <f t="shared" si="3"/>
        <v>104960426.73999998</v>
      </c>
      <c r="E23" s="3">
        <f t="shared" si="3"/>
        <v>88009045.020000011</v>
      </c>
      <c r="F23" s="3">
        <f t="shared" si="3"/>
        <v>117599037.60000001</v>
      </c>
      <c r="G23" s="3">
        <f t="shared" si="3"/>
        <v>63378696.490000002</v>
      </c>
      <c r="H23" s="3">
        <f t="shared" si="3"/>
        <v>0</v>
      </c>
      <c r="I23" s="3">
        <f t="shared" si="3"/>
        <v>0</v>
      </c>
      <c r="J23" s="3">
        <f t="shared" si="3"/>
        <v>0</v>
      </c>
      <c r="K23" s="3">
        <f t="shared" si="3"/>
        <v>0</v>
      </c>
      <c r="L23" s="3">
        <f t="shared" si="3"/>
        <v>0</v>
      </c>
      <c r="M23" s="3">
        <f t="shared" si="3"/>
        <v>0</v>
      </c>
      <c r="N23" s="3">
        <f t="shared" si="3"/>
        <v>549195849.70999992</v>
      </c>
    </row>
    <row r="24" spans="1:16" ht="15.75" customHeight="1" thickBot="1" x14ac:dyDescent="0.3">
      <c r="A24" s="17" t="s">
        <v>11</v>
      </c>
      <c r="B24" s="3">
        <f t="shared" ref="B24:N24" si="4">+B14-B23</f>
        <v>39477415.150000006</v>
      </c>
      <c r="C24" s="3">
        <f t="shared" si="4"/>
        <v>108793650.20999999</v>
      </c>
      <c r="D24" s="3">
        <f t="shared" si="4"/>
        <v>24517396.75</v>
      </c>
      <c r="E24" s="3">
        <f t="shared" si="4"/>
        <v>11293605.849999979</v>
      </c>
      <c r="F24" s="3">
        <f t="shared" si="4"/>
        <v>-27545980.720000014</v>
      </c>
      <c r="G24" s="3">
        <f t="shared" si="4"/>
        <v>22025347.360000022</v>
      </c>
      <c r="H24" s="3">
        <f t="shared" si="4"/>
        <v>0</v>
      </c>
      <c r="I24" s="3">
        <f t="shared" si="4"/>
        <v>0</v>
      </c>
      <c r="J24" s="3">
        <f t="shared" si="4"/>
        <v>0</v>
      </c>
      <c r="K24" s="3">
        <f t="shared" si="4"/>
        <v>0</v>
      </c>
      <c r="L24" s="3">
        <f t="shared" si="4"/>
        <v>0</v>
      </c>
      <c r="M24" s="3">
        <f t="shared" si="4"/>
        <v>0</v>
      </c>
      <c r="N24" s="3">
        <f t="shared" si="4"/>
        <v>178561434.60000014</v>
      </c>
    </row>
    <row r="25" spans="1:16" ht="15.75" customHeight="1" x14ac:dyDescent="0.3">
      <c r="A25" s="17" t="s">
        <v>12</v>
      </c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6" ht="15.75" customHeight="1" thickBot="1" x14ac:dyDescent="0.35">
      <c r="A26" s="18" t="s">
        <v>13</v>
      </c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6" ht="15.75" customHeight="1" thickBot="1" x14ac:dyDescent="0.3">
      <c r="A27" s="17" t="s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6" ht="15.75" customHeight="1" x14ac:dyDescent="0.3">
      <c r="A28" s="18" t="s">
        <v>8</v>
      </c>
      <c r="B28" s="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6" ht="18.75" customHeight="1" thickBot="1" x14ac:dyDescent="0.35">
      <c r="A29" s="21" t="s">
        <v>32</v>
      </c>
      <c r="B29" s="3">
        <f>2995328.64+16338278.19</f>
        <v>19333606.829999998</v>
      </c>
      <c r="C29" s="11">
        <f>969273+4956125.85+74310+7860809.96</f>
        <v>13860518.809999999</v>
      </c>
      <c r="D29" s="11">
        <f>6925100+2369410.25+43750+115499+9984070+294700+402305+451185</f>
        <v>20586019.25</v>
      </c>
      <c r="E29" s="11">
        <f>604072.39+131100+93100+1544.05+94424</f>
        <v>924240.44000000006</v>
      </c>
      <c r="F29" s="11">
        <f>15386587.53+2931519.54+281300+721196+2879229.92+53568+94424</f>
        <v>22347824.990000002</v>
      </c>
      <c r="G29" s="11">
        <f>16931.74+2960032.5+4351865+3931372.74+256000+247999+13480000+1397411.71+11260+25271810.47+144518</f>
        <v>52069201.159999996</v>
      </c>
      <c r="H29" s="11"/>
      <c r="I29" s="11"/>
      <c r="J29" s="11"/>
      <c r="K29" s="11"/>
      <c r="L29" s="11"/>
      <c r="M29" s="11"/>
      <c r="N29" s="11">
        <f>+B29+C29+D29+E29+F29+G29+H29+I29+J29+K29+L29+M29</f>
        <v>129121411.47999999</v>
      </c>
    </row>
    <row r="30" spans="1:16" ht="15.75" customHeight="1" thickBot="1" x14ac:dyDescent="0.3">
      <c r="A30" s="17" t="s">
        <v>10</v>
      </c>
      <c r="B30" s="3">
        <f>+B29</f>
        <v>19333606.829999998</v>
      </c>
      <c r="C30" s="3">
        <f t="shared" ref="C30:N30" si="5">+C29</f>
        <v>13860518.809999999</v>
      </c>
      <c r="D30" s="3">
        <f t="shared" si="5"/>
        <v>20586019.25</v>
      </c>
      <c r="E30" s="3">
        <f t="shared" si="5"/>
        <v>924240.44000000006</v>
      </c>
      <c r="F30" s="3">
        <f t="shared" si="5"/>
        <v>22347824.990000002</v>
      </c>
      <c r="G30" s="3">
        <f t="shared" si="5"/>
        <v>52069201.159999996</v>
      </c>
      <c r="H30" s="3">
        <f t="shared" si="5"/>
        <v>0</v>
      </c>
      <c r="I30" s="3">
        <f t="shared" si="5"/>
        <v>0</v>
      </c>
      <c r="J30" s="3">
        <f t="shared" si="5"/>
        <v>0</v>
      </c>
      <c r="K30" s="3">
        <f t="shared" si="5"/>
        <v>0</v>
      </c>
      <c r="L30" s="3">
        <f t="shared" si="5"/>
        <v>0</v>
      </c>
      <c r="M30" s="3">
        <f t="shared" si="5"/>
        <v>0</v>
      </c>
      <c r="N30" s="3">
        <f t="shared" si="5"/>
        <v>129121411.47999999</v>
      </c>
    </row>
    <row r="31" spans="1:16" ht="15.75" customHeight="1" thickBot="1" x14ac:dyDescent="0.3">
      <c r="A31" s="17" t="s">
        <v>15</v>
      </c>
      <c r="B31" s="3">
        <f>+B27-B30</f>
        <v>-19333606.829999998</v>
      </c>
      <c r="C31" s="3">
        <f t="shared" ref="C31:N31" si="6">+C27-C30</f>
        <v>-13860518.809999999</v>
      </c>
      <c r="D31" s="3">
        <f t="shared" si="6"/>
        <v>-20586019.25</v>
      </c>
      <c r="E31" s="3">
        <f t="shared" si="6"/>
        <v>-924240.44000000006</v>
      </c>
      <c r="F31" s="3">
        <f t="shared" si="6"/>
        <v>-22347824.990000002</v>
      </c>
      <c r="G31" s="3">
        <f t="shared" si="6"/>
        <v>-52069201.159999996</v>
      </c>
      <c r="H31" s="3">
        <f t="shared" si="6"/>
        <v>0</v>
      </c>
      <c r="I31" s="3">
        <f t="shared" si="6"/>
        <v>0</v>
      </c>
      <c r="J31" s="3">
        <f t="shared" si="6"/>
        <v>0</v>
      </c>
      <c r="K31" s="3">
        <f t="shared" si="6"/>
        <v>0</v>
      </c>
      <c r="L31" s="3">
        <f t="shared" si="6"/>
        <v>0</v>
      </c>
      <c r="M31" s="3">
        <f t="shared" si="6"/>
        <v>0</v>
      </c>
      <c r="N31" s="3">
        <f t="shared" si="6"/>
        <v>-129121411.47999999</v>
      </c>
    </row>
    <row r="32" spans="1:16" ht="15.75" customHeight="1" x14ac:dyDescent="0.3">
      <c r="A32" s="17" t="s">
        <v>16</v>
      </c>
      <c r="B32" s="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5.75" customHeight="1" x14ac:dyDescent="0.3">
      <c r="A33" s="18" t="s">
        <v>1</v>
      </c>
      <c r="B33" s="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5.75" customHeight="1" x14ac:dyDescent="0.3">
      <c r="A34" s="20" t="s">
        <v>22</v>
      </c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5.75" customHeight="1" x14ac:dyDescent="0.3">
      <c r="A35" s="18" t="s">
        <v>8</v>
      </c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5.75" customHeight="1" thickBot="1" x14ac:dyDescent="0.35">
      <c r="A36" s="17" t="s">
        <v>23</v>
      </c>
      <c r="B36" s="3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>
        <f>+B36+C36+D36+E36+F36+G36+H36+I36+J36+K36+L36+M36</f>
        <v>0</v>
      </c>
    </row>
    <row r="37" spans="1:14" ht="15.75" customHeight="1" thickBot="1" x14ac:dyDescent="0.3">
      <c r="A37" s="17" t="s">
        <v>10</v>
      </c>
      <c r="B37" s="3">
        <f>+B36</f>
        <v>0</v>
      </c>
      <c r="C37" s="3">
        <f>SUM(C36:C36)</f>
        <v>0</v>
      </c>
      <c r="D37" s="3">
        <f t="shared" ref="D37:G37" si="7">+D36</f>
        <v>0</v>
      </c>
      <c r="E37" s="3">
        <f t="shared" si="7"/>
        <v>0</v>
      </c>
      <c r="F37" s="3">
        <f>SUM(F36:F36)</f>
        <v>0</v>
      </c>
      <c r="G37" s="3">
        <f t="shared" si="7"/>
        <v>0</v>
      </c>
      <c r="H37" s="3">
        <f>SUM(H36:H36)</f>
        <v>0</v>
      </c>
      <c r="I37" s="3">
        <f>SUM(I36:I36)</f>
        <v>0</v>
      </c>
      <c r="J37" s="3">
        <f>SUM(J36:J36)</f>
        <v>0</v>
      </c>
      <c r="K37" s="3">
        <f>SUM(K36:K36)</f>
        <v>0</v>
      </c>
      <c r="L37" s="3"/>
      <c r="M37" s="3">
        <f>SUM(M36:M36)</f>
        <v>0</v>
      </c>
      <c r="N37" s="3">
        <f>SUM(N36:N36)</f>
        <v>0</v>
      </c>
    </row>
    <row r="38" spans="1:14" ht="15.75" customHeight="1" thickBot="1" x14ac:dyDescent="0.3">
      <c r="A38" s="17" t="s">
        <v>17</v>
      </c>
      <c r="B38" s="3">
        <f ca="1">+B24+B31+B38</f>
        <v>0</v>
      </c>
      <c r="C38" s="3">
        <f t="shared" ref="C38:K38" si="8">+C34-C37</f>
        <v>0</v>
      </c>
      <c r="D38" s="3">
        <f t="shared" si="8"/>
        <v>0</v>
      </c>
      <c r="E38" s="3">
        <f t="shared" si="8"/>
        <v>0</v>
      </c>
      <c r="F38" s="3">
        <f t="shared" si="8"/>
        <v>0</v>
      </c>
      <c r="G38" s="3">
        <f t="shared" si="8"/>
        <v>0</v>
      </c>
      <c r="H38" s="3">
        <f t="shared" si="8"/>
        <v>0</v>
      </c>
      <c r="I38" s="3">
        <f t="shared" si="8"/>
        <v>0</v>
      </c>
      <c r="J38" s="3">
        <f t="shared" si="8"/>
        <v>0</v>
      </c>
      <c r="K38" s="3">
        <f t="shared" si="8"/>
        <v>0</v>
      </c>
      <c r="L38" s="3"/>
      <c r="M38" s="3">
        <f>+M34-M37</f>
        <v>0</v>
      </c>
      <c r="N38" s="3">
        <f>+N34-N37</f>
        <v>0</v>
      </c>
    </row>
    <row r="39" spans="1:14" ht="15.75" customHeight="1" x14ac:dyDescent="0.25">
      <c r="A39" s="17" t="s">
        <v>18</v>
      </c>
      <c r="B39" s="2">
        <f>+B24+B31</f>
        <v>20143808.320000008</v>
      </c>
      <c r="C39" s="2">
        <f t="shared" ref="C39:N39" si="9">+C24+C31</f>
        <v>94933131.399999991</v>
      </c>
      <c r="D39" s="2">
        <f t="shared" si="9"/>
        <v>3931377.5</v>
      </c>
      <c r="E39" s="2">
        <f t="shared" si="9"/>
        <v>10369365.40999998</v>
      </c>
      <c r="F39" s="2">
        <f t="shared" si="9"/>
        <v>-49893805.710000016</v>
      </c>
      <c r="G39" s="2">
        <f t="shared" si="9"/>
        <v>-30043853.799999975</v>
      </c>
      <c r="H39" s="2">
        <f t="shared" si="9"/>
        <v>0</v>
      </c>
      <c r="I39" s="2">
        <f t="shared" si="9"/>
        <v>0</v>
      </c>
      <c r="J39" s="2">
        <f t="shared" si="9"/>
        <v>0</v>
      </c>
      <c r="K39" s="2">
        <f t="shared" si="9"/>
        <v>0</v>
      </c>
      <c r="L39" s="2">
        <f t="shared" si="9"/>
        <v>0</v>
      </c>
      <c r="M39" s="2">
        <f t="shared" si="9"/>
        <v>0</v>
      </c>
      <c r="N39" s="2">
        <f t="shared" si="9"/>
        <v>49440023.120000154</v>
      </c>
    </row>
    <row r="40" spans="1:14" ht="15.75" customHeight="1" x14ac:dyDescent="0.25">
      <c r="A40" s="17" t="s">
        <v>19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.75" customHeight="1" thickBot="1" x14ac:dyDescent="0.35">
      <c r="A41" s="17" t="s">
        <v>20</v>
      </c>
      <c r="B41" s="10">
        <v>284935675.60000002</v>
      </c>
      <c r="C41" s="11">
        <v>305079483.92000002</v>
      </c>
      <c r="D41" s="11">
        <v>400012615.31999999</v>
      </c>
      <c r="E41" s="11">
        <v>403943992.81999999</v>
      </c>
      <c r="F41" s="11">
        <v>414313358.23000002</v>
      </c>
      <c r="G41" s="11">
        <v>364419552.51999998</v>
      </c>
      <c r="H41" s="11"/>
      <c r="I41" s="11"/>
      <c r="J41" s="11"/>
      <c r="K41" s="11"/>
      <c r="L41" s="11"/>
      <c r="M41" s="11"/>
      <c r="N41" s="11">
        <v>284935675.60000002</v>
      </c>
    </row>
    <row r="42" spans="1:14" ht="15.75" customHeight="1" thickBot="1" x14ac:dyDescent="0.3">
      <c r="A42" s="17" t="s">
        <v>33</v>
      </c>
      <c r="B42" s="3">
        <f>+B39+B41</f>
        <v>305079483.92000002</v>
      </c>
      <c r="C42" s="3">
        <f t="shared" ref="C42:N42" si="10">+C39+C41</f>
        <v>400012615.31999999</v>
      </c>
      <c r="D42" s="3">
        <f t="shared" si="10"/>
        <v>403943992.81999999</v>
      </c>
      <c r="E42" s="3">
        <f t="shared" si="10"/>
        <v>414313358.22999996</v>
      </c>
      <c r="F42" s="3">
        <f t="shared" si="10"/>
        <v>364419552.51999998</v>
      </c>
      <c r="G42" s="3">
        <f t="shared" si="10"/>
        <v>334375698.72000003</v>
      </c>
      <c r="H42" s="3">
        <f t="shared" si="10"/>
        <v>0</v>
      </c>
      <c r="I42" s="3">
        <f t="shared" si="10"/>
        <v>0</v>
      </c>
      <c r="J42" s="3">
        <f t="shared" si="10"/>
        <v>0</v>
      </c>
      <c r="K42" s="3">
        <f t="shared" si="10"/>
        <v>0</v>
      </c>
      <c r="L42" s="3">
        <f t="shared" si="10"/>
        <v>0</v>
      </c>
      <c r="M42" s="3">
        <f t="shared" si="10"/>
        <v>0</v>
      </c>
      <c r="N42" s="3">
        <f t="shared" si="10"/>
        <v>334375698.72000015</v>
      </c>
    </row>
    <row r="43" spans="1:14" ht="15.75" customHeight="1" x14ac:dyDescent="0.3">
      <c r="A43" s="22"/>
      <c r="B43" s="5">
        <f>4528374.99+300551108.93</f>
        <v>305079483.92000002</v>
      </c>
      <c r="C43" s="5">
        <f>3656112.95+396356502.37</f>
        <v>400012615.31999999</v>
      </c>
      <c r="D43" s="5">
        <f>10129423.3+393814569.52</f>
        <v>403943992.81999999</v>
      </c>
      <c r="E43" s="5">
        <f>3082576.3+411230781.93</f>
        <v>414313358.23000002</v>
      </c>
      <c r="F43" s="5">
        <f>2847184.45+361572368.07</f>
        <v>364419552.51999998</v>
      </c>
      <c r="G43" s="5">
        <v>334375698.72000003</v>
      </c>
      <c r="H43" s="5"/>
      <c r="I43" s="5"/>
      <c r="J43" s="5"/>
      <c r="K43" s="5"/>
      <c r="L43" s="5"/>
      <c r="M43" s="5"/>
      <c r="N43" s="5"/>
    </row>
    <row r="44" spans="1:14" ht="16.5" x14ac:dyDescent="0.3">
      <c r="A44" s="23" t="s">
        <v>25</v>
      </c>
      <c r="B44" s="6">
        <f t="shared" ref="B44:G44" si="11">+B42-B43</f>
        <v>0</v>
      </c>
      <c r="C44" s="6">
        <f t="shared" si="11"/>
        <v>0</v>
      </c>
      <c r="D44" s="6">
        <f t="shared" si="11"/>
        <v>0</v>
      </c>
      <c r="E44" s="6">
        <f t="shared" si="11"/>
        <v>0</v>
      </c>
      <c r="F44" s="6">
        <f t="shared" si="11"/>
        <v>0</v>
      </c>
      <c r="G44" s="6">
        <f t="shared" si="11"/>
        <v>0</v>
      </c>
      <c r="H44" s="6">
        <f>+H42-H43</f>
        <v>0</v>
      </c>
      <c r="I44" s="6">
        <f>+I42-I43</f>
        <v>0</v>
      </c>
      <c r="J44" s="6"/>
      <c r="K44" s="6">
        <f>+K42-K43</f>
        <v>0</v>
      </c>
      <c r="L44" s="6"/>
      <c r="M44" s="6">
        <f>+M42-M43</f>
        <v>0</v>
      </c>
      <c r="N44" s="6"/>
    </row>
    <row r="45" spans="1:14" ht="16.5" x14ac:dyDescent="0.3">
      <c r="A45" s="23"/>
      <c r="B45" s="1"/>
      <c r="C45" s="1"/>
      <c r="D45" s="1"/>
      <c r="E45" s="5"/>
      <c r="F45" s="1"/>
      <c r="G45" s="1"/>
      <c r="H45" s="1"/>
      <c r="I45" s="1"/>
      <c r="J45" s="1"/>
      <c r="K45" s="1"/>
      <c r="L45" s="1"/>
      <c r="M45" s="6"/>
      <c r="N45" s="1"/>
    </row>
    <row r="46" spans="1:14" ht="16.5" x14ac:dyDescent="0.3">
      <c r="A46" s="23" t="s">
        <v>26</v>
      </c>
      <c r="B46" s="1"/>
      <c r="C46" s="6"/>
      <c r="D46" s="1"/>
      <c r="E46" s="1"/>
      <c r="F46" s="1" t="s">
        <v>49</v>
      </c>
      <c r="G46" s="1"/>
      <c r="H46" s="1"/>
      <c r="I46" s="1"/>
      <c r="J46" s="1"/>
      <c r="K46" s="1"/>
      <c r="L46" s="1"/>
      <c r="M46" s="1"/>
      <c r="N46" s="1"/>
    </row>
    <row r="47" spans="1:14" ht="16.5" x14ac:dyDescent="0.3">
      <c r="A47" s="23" t="s">
        <v>27</v>
      </c>
      <c r="B47" s="1"/>
      <c r="C47" s="1"/>
      <c r="D47" s="1"/>
      <c r="E47" s="1"/>
      <c r="F47" s="1"/>
      <c r="G47" s="1"/>
      <c r="H47" s="1"/>
      <c r="I47" s="6"/>
      <c r="J47" s="6"/>
      <c r="K47" s="6"/>
      <c r="L47" s="6"/>
      <c r="M47" s="6"/>
      <c r="N47" s="1"/>
    </row>
    <row r="48" spans="1:14" ht="16.5" x14ac:dyDescent="0.3">
      <c r="A48" s="2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6.5" x14ac:dyDescent="0.3">
      <c r="A49" s="2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6.5" x14ac:dyDescent="0.3">
      <c r="A50" s="2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6.5" x14ac:dyDescent="0.3">
      <c r="A51" s="2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6.5" x14ac:dyDescent="0.3">
      <c r="A52" s="2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6.5" x14ac:dyDescent="0.3">
      <c r="A53" s="2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6.5" x14ac:dyDescent="0.3">
      <c r="A54" s="23"/>
      <c r="B54" s="1"/>
    </row>
    <row r="55" spans="1:14" ht="16.5" x14ac:dyDescent="0.3">
      <c r="A55" s="23"/>
      <c r="B55" s="1"/>
    </row>
    <row r="56" spans="1:14" ht="16.5" x14ac:dyDescent="0.3">
      <c r="A56" s="23"/>
      <c r="B56" s="1"/>
    </row>
    <row r="57" spans="1:14" ht="16.5" x14ac:dyDescent="0.3">
      <c r="A57" s="23"/>
      <c r="B57" s="1"/>
    </row>
    <row r="58" spans="1:14" ht="16.5" x14ac:dyDescent="0.3">
      <c r="A58" s="23"/>
      <c r="B58" s="1"/>
    </row>
    <row r="59" spans="1:14" ht="16.5" x14ac:dyDescent="0.3">
      <c r="A59" s="23"/>
      <c r="B59" s="1"/>
    </row>
    <row r="60" spans="1:14" ht="16.5" x14ac:dyDescent="0.3">
      <c r="A60" s="23"/>
      <c r="B60" s="1"/>
    </row>
  </sheetData>
  <mergeCells count="3">
    <mergeCell ref="A1:N1"/>
    <mergeCell ref="A2:N2"/>
    <mergeCell ref="A3:N3"/>
  </mergeCells>
  <pageMargins left="0.7" right="0.7" top="0.25" bottom="0.75" header="0.3" footer="0.3"/>
  <pageSetup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2066-01-22T12:49:31Z</cp:lastPrinted>
  <dcterms:created xsi:type="dcterms:W3CDTF">2016-02-06T17:31:35Z</dcterms:created>
  <dcterms:modified xsi:type="dcterms:W3CDTF">2066-01-27T19:12:54Z</dcterms:modified>
</cp:coreProperties>
</file>